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nelincoln-my.sharepoint.com/personal/adicostanzo3_unl_edu/Documents/Documents/Extension Resource management/Integrated crop livestock manure analysis/"/>
    </mc:Choice>
  </mc:AlternateContent>
  <xr:revisionPtr revIDLastSave="0" documentId="8_{91C3CB5D-67B3-4094-B253-CE0A217F7748}" xr6:coauthVersionLast="47" xr6:coauthVersionMax="47" xr10:uidLastSave="{00000000-0000-0000-0000-000000000000}"/>
  <bookViews>
    <workbookView xWindow="-108" yWindow="-108" windowWidth="23256" windowHeight="12576" xr2:uid="{898F9223-114E-45FB-BF08-775119D8C59F}"/>
  </bookViews>
  <sheets>
    <sheet name="Calculator" sheetId="5" r:id="rId1"/>
    <sheet name="2022 Reference" sheetId="18" state="hidden" r:id="rId2"/>
    <sheet name="Names" sheetId="8" state="hidden" r:id="rId3"/>
    <sheet name="DM and Bu wt" sheetId="6" state="hidden" r:id="rId4"/>
  </sheets>
  <definedNames>
    <definedName name="_xlnm._FilterDatabase" localSheetId="2" hidden="1">Names!$J$1:$J$7</definedName>
    <definedName name="Crop">Names!$A$2:$A$5</definedName>
    <definedName name="Moisture">Names!$E$2:$E$28</definedName>
    <definedName name="Ownership">Names!$H$2:$H$4</definedName>
    <definedName name="State_tenure">Names!$J$2:$J$7</definedName>
    <definedName name="System">Names!$C$2:$C$3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5" l="1"/>
  <c r="C43" i="5"/>
  <c r="C67" i="5"/>
  <c r="B47" i="5"/>
  <c r="B48" i="5"/>
  <c r="B49" i="5"/>
  <c r="B50" i="5"/>
  <c r="B51" i="5"/>
  <c r="B52" i="5"/>
  <c r="B53" i="5"/>
  <c r="B54" i="5"/>
  <c r="B55" i="5"/>
  <c r="B56" i="5"/>
  <c r="B46" i="5"/>
  <c r="B36" i="5"/>
  <c r="B37" i="5"/>
  <c r="B38" i="5"/>
  <c r="B35" i="5"/>
  <c r="B19" i="5"/>
  <c r="B20" i="5"/>
  <c r="B21" i="5"/>
  <c r="B22" i="5"/>
  <c r="B23" i="5"/>
  <c r="B24" i="5"/>
  <c r="B25" i="5"/>
  <c r="B26" i="5"/>
  <c r="B27" i="5"/>
  <c r="B28" i="5"/>
  <c r="B29" i="5"/>
  <c r="B30" i="5"/>
  <c r="B18" i="5"/>
  <c r="G31" i="18"/>
  <c r="G19" i="18"/>
  <c r="F31" i="18"/>
  <c r="F19" i="18"/>
  <c r="B31" i="18"/>
  <c r="C31" i="18"/>
  <c r="D31" i="18"/>
  <c r="E31" i="18"/>
  <c r="E19" i="18"/>
  <c r="D19" i="18"/>
  <c r="C19" i="18"/>
  <c r="B19" i="18"/>
  <c r="B7" i="5"/>
  <c r="C5" i="5"/>
  <c r="C8" i="5" s="1"/>
  <c r="B10" i="5"/>
  <c r="B12" i="5" l="1"/>
  <c r="B43" i="5"/>
  <c r="B66" i="5"/>
  <c r="C68" i="5"/>
  <c r="C69" i="5" s="1"/>
  <c r="B67" i="5"/>
  <c r="B57" i="5"/>
  <c r="C32" i="18"/>
  <c r="C57" i="5"/>
  <c r="G32" i="18"/>
  <c r="E32" i="18"/>
  <c r="F32" i="18"/>
  <c r="D32" i="18"/>
  <c r="B32" i="18"/>
  <c r="C9" i="5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68" i="5" l="1"/>
  <c r="B69" i="5" s="1"/>
  <c r="C12" i="5"/>
  <c r="B13" i="5"/>
  <c r="B14" i="5" s="1"/>
  <c r="C10" i="5"/>
  <c r="B63" i="5"/>
  <c r="C16" i="5" l="1"/>
  <c r="B15" i="5"/>
  <c r="B44" i="5" s="1"/>
  <c r="C14" i="5"/>
  <c r="C15" i="5" s="1"/>
  <c r="C13" i="5" s="1"/>
  <c r="C11" i="5" s="1"/>
  <c r="B58" i="5"/>
  <c r="C63" i="5" l="1"/>
  <c r="C58" i="5"/>
  <c r="C64" i="5" s="1"/>
  <c r="B64" i="5"/>
  <c r="B61" i="5"/>
  <c r="B65" i="5" s="1"/>
  <c r="B59" i="5"/>
  <c r="B62" i="5" s="1"/>
  <c r="C61" i="5" l="1"/>
  <c r="C65" i="5" s="1"/>
  <c r="C44" i="5" l="1"/>
  <c r="C59" i="5" l="1"/>
  <c r="C62" i="5" s="1"/>
</calcChain>
</file>

<file path=xl/sharedStrings.xml><?xml version="1.0" encoding="utf-8"?>
<sst xmlns="http://schemas.openxmlformats.org/spreadsheetml/2006/main" count="149" uniqueCount="109">
  <si>
    <t>Crop</t>
  </si>
  <si>
    <t>Dryland</t>
  </si>
  <si>
    <t>Ownership</t>
  </si>
  <si>
    <t>Yield/acre</t>
  </si>
  <si>
    <t>Acres</t>
  </si>
  <si>
    <t>Yield</t>
  </si>
  <si>
    <t>Unit</t>
  </si>
  <si>
    <t>Seed</t>
  </si>
  <si>
    <t>Fertilizer</t>
  </si>
  <si>
    <t>Crop chemicals</t>
  </si>
  <si>
    <t>Crop insurance</t>
  </si>
  <si>
    <t>Packaging and supplies</t>
  </si>
  <si>
    <t>Fuel &amp; oil</t>
  </si>
  <si>
    <t>Repairs</t>
  </si>
  <si>
    <t>Custom hire</t>
  </si>
  <si>
    <t>Land rent</t>
  </si>
  <si>
    <t>Machinery leases</t>
  </si>
  <si>
    <t>Operating interest</t>
  </si>
  <si>
    <t>Miscellaneous</t>
  </si>
  <si>
    <t>Storage</t>
  </si>
  <si>
    <t>Hired labor</t>
  </si>
  <si>
    <t>Building leases</t>
  </si>
  <si>
    <t>Farm insurance</t>
  </si>
  <si>
    <t>Utilities</t>
  </si>
  <si>
    <t>Dues &amp; professional fees</t>
  </si>
  <si>
    <t>Interest</t>
  </si>
  <si>
    <t>Mach &amp; bldg depreciation</t>
  </si>
  <si>
    <t>Total overhead expenses/acre</t>
  </si>
  <si>
    <t>Total direct and overhead expenses/acre</t>
  </si>
  <si>
    <t>Net return per acre</t>
  </si>
  <si>
    <t>Hauling and trucking</t>
  </si>
  <si>
    <t>Marketing</t>
  </si>
  <si>
    <t>Gross return/acre, $</t>
  </si>
  <si>
    <t>Gross return, $</t>
  </si>
  <si>
    <t>Labor and management charge, $/acre</t>
  </si>
  <si>
    <t>Return over labor and management, $/acre</t>
  </si>
  <si>
    <t>Total direct expense per unit, $</t>
  </si>
  <si>
    <t>Total expense with labor and management, $/acre</t>
  </si>
  <si>
    <t>Total direct and overhead expense per unit, $/unit</t>
  </si>
  <si>
    <t>Earlage</t>
  </si>
  <si>
    <t>Irrigated</t>
  </si>
  <si>
    <t>All</t>
  </si>
  <si>
    <t>Irrigation energy</t>
  </si>
  <si>
    <t>Irrigation repairs</t>
  </si>
  <si>
    <t>Crop year</t>
  </si>
  <si>
    <t>Direct expenses</t>
  </si>
  <si>
    <t>Overhead expenses</t>
  </si>
  <si>
    <t xml:space="preserve">Table 2. Pounds of corn required to equal one bushel of Number 2 shelled corn (at 15.5% moisture) when corn is harvested at various moisture levels. Derived from Purdue University AES Circular 472. </t>
  </si>
  <si>
    <t>Percent moisture</t>
  </si>
  <si>
    <t>Pounds of shelled corn</t>
  </si>
  <si>
    <t>Pounds of ear corn</t>
  </si>
  <si>
    <t>in corn</t>
  </si>
  <si>
    <t>needed to equal one bushel</t>
  </si>
  <si>
    <t>%</t>
  </si>
  <si>
    <t>pounds</t>
  </si>
  <si>
    <t>Moisture %</t>
  </si>
  <si>
    <t>DM %</t>
  </si>
  <si>
    <t>Corn grain bu wt</t>
  </si>
  <si>
    <t>Ear corn bu wt</t>
  </si>
  <si>
    <t>With labor and management (worth), $/unit</t>
  </si>
  <si>
    <t>System</t>
  </si>
  <si>
    <t>Grain</t>
  </si>
  <si>
    <t>Silage</t>
  </si>
  <si>
    <t>Crop moisture, %</t>
  </si>
  <si>
    <t>Corn grain, lb/bu, or corn grain, lb/ton DM</t>
  </si>
  <si>
    <t>High-moisture grain</t>
  </si>
  <si>
    <t>Irrigated crop</t>
  </si>
  <si>
    <t>Grain moisture</t>
  </si>
  <si>
    <t>lb per bu</t>
  </si>
  <si>
    <t>Corn grain per ton of crop, bu</t>
  </si>
  <si>
    <t>Pre-harvest direct expense, $/acre</t>
  </si>
  <si>
    <t>Return over direct expense, $/acre</t>
  </si>
  <si>
    <t>Total direct expense, $/acre</t>
  </si>
  <si>
    <t>Owned</t>
  </si>
  <si>
    <t>Rented</t>
  </si>
  <si>
    <t>NE_all</t>
  </si>
  <si>
    <t>MN_all</t>
  </si>
  <si>
    <t>Calculator</t>
  </si>
  <si>
    <t>RE &amp; pers. property taxes</t>
  </si>
  <si>
    <t>Reference</t>
  </si>
  <si>
    <t>UNL Corn crop harvest calculator</t>
  </si>
  <si>
    <t>Expenses</t>
  </si>
  <si>
    <t>Drying expense</t>
  </si>
  <si>
    <t>Post-harvest, dry corn</t>
  </si>
  <si>
    <t>Harvesting corn silage, snaplage or earlage</t>
  </si>
  <si>
    <t>Filling silage bags</t>
  </si>
  <si>
    <t>State and land tenure</t>
  </si>
  <si>
    <t>MN_owned</t>
  </si>
  <si>
    <t>MN_rented</t>
  </si>
  <si>
    <t>NE_owned</t>
  </si>
  <si>
    <t>NE_rented</t>
  </si>
  <si>
    <t>State_tenure</t>
  </si>
  <si>
    <t>Total direct expenses per acre</t>
  </si>
  <si>
    <t>Total overhead expenses per acre</t>
  </si>
  <si>
    <t>Total direct and overhead expenses per acre</t>
  </si>
  <si>
    <t>Overhead Custom hire</t>
  </si>
  <si>
    <t>Overhead Hired labor</t>
  </si>
  <si>
    <t>Overhead Machinery leases</t>
  </si>
  <si>
    <t>Overhead Miscellaneous</t>
  </si>
  <si>
    <t>Overhead Utilities</t>
  </si>
  <si>
    <t>bu</t>
  </si>
  <si>
    <t>Elevator bid, $/unit (56-lb per bu)</t>
  </si>
  <si>
    <t>Pre-harvest overhead expense, $/acre</t>
  </si>
  <si>
    <t>Pre-harvest total expense, $/acre</t>
  </si>
  <si>
    <t>Market value, $/unit (adjusted for moisture content)</t>
  </si>
  <si>
    <t>NE</t>
  </si>
  <si>
    <t>Pre-harvest expense with labor and management, $/acre</t>
  </si>
  <si>
    <t>Proportion of 56-lb bu corn, %</t>
  </si>
  <si>
    <t>Harvest and post-harvest, high-moisture corn, earlage or snaplage, corn silage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</si>
</sst>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"/>
    <numFmt numFmtId="165" formatCode="0.0"/>
    <numFmt numFmtId="166" formatCode="#,##0.0"/>
    <numFmt numFmtId="167" formatCode="&quot;$&quot;#,##0"/>
    <numFmt numFmtId="168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8" fontId="0" fillId="0" borderId="0" xfId="2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>
      <alignment horizontal="center" vertical="center"/>
    </xf>
    <xf numFmtId="10" fontId="4" fillId="7" borderId="2" xfId="2" applyNumberFormat="1" applyFont="1" applyFill="1" applyBorder="1" applyAlignment="1" applyProtection="1">
      <alignment horizontal="center" vertical="center"/>
      <protection locked="0"/>
    </xf>
    <xf numFmtId="168" fontId="0" fillId="7" borderId="7" xfId="2" applyNumberFormat="1" applyFont="1" applyFill="1" applyBorder="1" applyAlignment="1" applyProtection="1">
      <alignment horizontal="center" vertical="center"/>
      <protection locked="0"/>
    </xf>
    <xf numFmtId="2" fontId="4" fillId="3" borderId="2" xfId="0" applyNumberFormat="1" applyFont="1" applyFill="1" applyBorder="1" applyAlignment="1">
      <alignment horizontal="center" vertical="center"/>
    </xf>
    <xf numFmtId="9" fontId="0" fillId="7" borderId="7" xfId="2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 vertical="center"/>
    </xf>
    <xf numFmtId="0" fontId="0" fillId="7" borderId="9" xfId="0" applyFill="1" applyBorder="1" applyAlignment="1" applyProtection="1">
      <alignment horizontal="center" vertical="center"/>
      <protection locked="0"/>
    </xf>
    <xf numFmtId="165" fontId="0" fillId="3" borderId="7" xfId="0" applyNumberForma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" fontId="0" fillId="7" borderId="10" xfId="0" applyNumberFormat="1" applyFill="1" applyBorder="1" applyAlignment="1" applyProtection="1">
      <alignment horizontal="center" vertical="center"/>
      <protection locked="0"/>
    </xf>
    <xf numFmtId="3" fontId="0" fillId="3" borderId="7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164" fontId="0" fillId="7" borderId="10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>
      <alignment horizontal="center" vertical="center"/>
    </xf>
    <xf numFmtId="10" fontId="0" fillId="3" borderId="10" xfId="2" applyNumberFormat="1" applyFont="1" applyFill="1" applyBorder="1" applyAlignment="1" applyProtection="1">
      <alignment horizontal="center" vertical="center"/>
    </xf>
    <xf numFmtId="10" fontId="0" fillId="3" borderId="7" xfId="2" applyNumberFormat="1" applyFont="1" applyFill="1" applyBorder="1" applyAlignment="1" applyProtection="1">
      <alignment horizontal="center" vertical="center"/>
    </xf>
    <xf numFmtId="164" fontId="2" fillId="8" borderId="10" xfId="0" applyNumberFormat="1" applyFont="1" applyFill="1" applyBorder="1" applyAlignment="1">
      <alignment horizontal="center" vertical="center"/>
    </xf>
    <xf numFmtId="164" fontId="2" fillId="8" borderId="7" xfId="0" applyNumberFormat="1" applyFont="1" applyFill="1" applyBorder="1" applyAlignment="1">
      <alignment horizontal="center" vertical="center"/>
    </xf>
    <xf numFmtId="167" fontId="0" fillId="3" borderId="10" xfId="0" applyNumberFormat="1" applyFill="1" applyBorder="1" applyAlignment="1">
      <alignment horizontal="center" vertical="center"/>
    </xf>
    <xf numFmtId="167" fontId="0" fillId="3" borderId="7" xfId="0" applyNumberFormat="1" applyFill="1" applyBorder="1" applyAlignment="1">
      <alignment horizontal="center" vertical="center"/>
    </xf>
    <xf numFmtId="166" fontId="1" fillId="5" borderId="7" xfId="0" applyNumberFormat="1" applyFon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7" borderId="7" xfId="0" applyNumberForma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164" fontId="4" fillId="8" borderId="10" xfId="0" applyNumberFormat="1" applyFont="1" applyFill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Normal" xfId="0" builtinId="0"/>
    <cellStyle name="Normal 2" xfId="1" xr:uid="{B725EECD-591B-4673-8C34-2E89179B109A}"/>
    <cellStyle name="Percent" xfId="2" builtinId="5"/>
  </cellStyles>
  <dxfs count="0"/>
  <tableStyles count="1" defaultTableStyle="TableStyleMedium2" defaultPivotStyle="PivotStyleLight16">
    <tableStyle name="Table Style 1" pivot="0" count="0" xr9:uid="{686B8017-37F7-4280-902F-4007BD3B92EC}"/>
  </tableStyles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F33B8-5EE0-4D10-85C4-1D1C662AE32A}">
  <sheetPr>
    <tabColor theme="9" tint="-0.499984740745262"/>
  </sheetPr>
  <dimension ref="A1:C69"/>
  <sheetViews>
    <sheetView tabSelected="1" workbookViewId="0">
      <pane xSplit="1" ySplit="7" topLeftCell="B65" activePane="bottomRight" state="frozen"/>
      <selection activeCell="B21" sqref="B21:B31"/>
      <selection pane="topRight" activeCell="B21" sqref="B21:B31"/>
      <selection pane="bottomLeft" activeCell="B21" sqref="B21:B31"/>
      <selection pane="bottomRight" activeCell="C4" sqref="C4"/>
    </sheetView>
  </sheetViews>
  <sheetFormatPr defaultColWidth="9.109375" defaultRowHeight="14.4" x14ac:dyDescent="0.3"/>
  <cols>
    <col min="1" max="1" width="52.5546875" style="1" bestFit="1" customWidth="1"/>
    <col min="2" max="3" width="18.6640625" style="1" customWidth="1"/>
    <col min="4" max="20" width="11.6640625" style="1" customWidth="1"/>
    <col min="21" max="16384" width="9.109375" style="1"/>
  </cols>
  <sheetData>
    <row r="1" spans="1:3" x14ac:dyDescent="0.3">
      <c r="A1" s="13" t="s">
        <v>80</v>
      </c>
      <c r="B1" s="13" t="s">
        <v>79</v>
      </c>
      <c r="C1" s="13" t="s">
        <v>77</v>
      </c>
    </row>
    <row r="2" spans="1:3" x14ac:dyDescent="0.3">
      <c r="A2" s="13" t="s">
        <v>86</v>
      </c>
      <c r="B2" s="14" t="s">
        <v>90</v>
      </c>
      <c r="C2" s="15" t="s">
        <v>105</v>
      </c>
    </row>
    <row r="3" spans="1:3" x14ac:dyDescent="0.3">
      <c r="A3" s="13" t="s">
        <v>44</v>
      </c>
      <c r="B3" s="3">
        <v>2022</v>
      </c>
      <c r="C3" s="15">
        <v>2023</v>
      </c>
    </row>
    <row r="4" spans="1:3" x14ac:dyDescent="0.3">
      <c r="A4" s="13" t="s">
        <v>0</v>
      </c>
      <c r="B4" s="3" t="s">
        <v>61</v>
      </c>
      <c r="C4" s="15" t="s">
        <v>39</v>
      </c>
    </row>
    <row r="5" spans="1:3" x14ac:dyDescent="0.3">
      <c r="A5" s="13" t="s">
        <v>6</v>
      </c>
      <c r="B5" s="3" t="s">
        <v>100</v>
      </c>
      <c r="C5" s="16" t="str">
        <f>IF(C4="Grain","bu",IF(C4="High-moisture grain","ton",IF(C4="Earlage","ton",IF(C4="Silage","ton"))))</f>
        <v>ton</v>
      </c>
    </row>
    <row r="6" spans="1:3" x14ac:dyDescent="0.3">
      <c r="A6" s="13" t="s">
        <v>63</v>
      </c>
      <c r="B6" s="17">
        <v>0.155</v>
      </c>
      <c r="C6" s="18">
        <v>0.33</v>
      </c>
    </row>
    <row r="7" spans="1:3" x14ac:dyDescent="0.3">
      <c r="A7" s="13" t="s">
        <v>64</v>
      </c>
      <c r="B7" s="19">
        <f>INDEX(Names!$F$2:$F$28, MATCH(Calculator!B$6,Names!$E$2:$E$28,0))</f>
        <v>56</v>
      </c>
      <c r="C7" s="20">
        <v>0.8</v>
      </c>
    </row>
    <row r="8" spans="1:3" x14ac:dyDescent="0.3">
      <c r="A8" s="21" t="s">
        <v>3</v>
      </c>
      <c r="B8" s="22">
        <v>196</v>
      </c>
      <c r="C8" s="23">
        <f>IF(C5="ton",((B8*B7/2000)*(1-B6))/(1-C6)/C7, ((B8*B7)*(1-B6))/(1-C6)/C7/56)</f>
        <v>8.6517910447761199</v>
      </c>
    </row>
    <row r="9" spans="1:3" x14ac:dyDescent="0.3">
      <c r="A9" s="24" t="s">
        <v>4</v>
      </c>
      <c r="B9" s="25">
        <v>1000</v>
      </c>
      <c r="C9" s="26">
        <f>B9</f>
        <v>1000</v>
      </c>
    </row>
    <row r="10" spans="1:3" x14ac:dyDescent="0.3">
      <c r="A10" s="24" t="s">
        <v>5</v>
      </c>
      <c r="B10" s="27">
        <f>B8*B9</f>
        <v>196000</v>
      </c>
      <c r="C10" s="26">
        <f>C8*C9</f>
        <v>8651.7910447761205</v>
      </c>
    </row>
    <row r="11" spans="1:3" x14ac:dyDescent="0.3">
      <c r="A11" s="24" t="s">
        <v>101</v>
      </c>
      <c r="B11" s="28">
        <v>5.25</v>
      </c>
      <c r="C11" s="29">
        <f>C13/C12</f>
        <v>118.93491124260355</v>
      </c>
    </row>
    <row r="12" spans="1:3" x14ac:dyDescent="0.3">
      <c r="A12" s="24" t="s">
        <v>107</v>
      </c>
      <c r="B12" s="30">
        <f>56/B7</f>
        <v>1</v>
      </c>
      <c r="C12" s="31">
        <f>B12</f>
        <v>1</v>
      </c>
    </row>
    <row r="13" spans="1:3" x14ac:dyDescent="0.3">
      <c r="A13" s="24" t="s">
        <v>104</v>
      </c>
      <c r="B13" s="32">
        <f>B12*B11</f>
        <v>5.25</v>
      </c>
      <c r="C13" s="33">
        <f>C15/C8</f>
        <v>118.93491124260355</v>
      </c>
    </row>
    <row r="14" spans="1:3" x14ac:dyDescent="0.3">
      <c r="A14" s="24" t="s">
        <v>33</v>
      </c>
      <c r="B14" s="34">
        <f>B10*B13</f>
        <v>1029000</v>
      </c>
      <c r="C14" s="35">
        <f>B14</f>
        <v>1029000</v>
      </c>
    </row>
    <row r="15" spans="1:3" x14ac:dyDescent="0.3">
      <c r="A15" s="24" t="s">
        <v>32</v>
      </c>
      <c r="B15" s="34">
        <f>B14/B9</f>
        <v>1029</v>
      </c>
      <c r="C15" s="35">
        <f>C14/C9</f>
        <v>1029</v>
      </c>
    </row>
    <row r="16" spans="1:3" x14ac:dyDescent="0.3">
      <c r="A16" s="48" t="s">
        <v>69</v>
      </c>
      <c r="B16" s="49"/>
      <c r="C16" s="36">
        <f>B8/C8</f>
        <v>22.65426880811496</v>
      </c>
    </row>
    <row r="17" spans="1:3" x14ac:dyDescent="0.3">
      <c r="A17" s="53" t="s">
        <v>45</v>
      </c>
      <c r="B17" s="54"/>
      <c r="C17" s="55"/>
    </row>
    <row r="18" spans="1:3" x14ac:dyDescent="0.3">
      <c r="A18" s="24" t="s">
        <v>7</v>
      </c>
      <c r="B18" s="37">
        <f>INDEX('2022 Reference'!$A$1:$G$32,MATCH(Calculator!$A18,'2022 Reference'!$A$1:$A$32,0),MATCH(Calculator!B$2,'2022 Reference'!$A$1:$G$1,0))</f>
        <v>117.38</v>
      </c>
      <c r="C18" s="38">
        <v>117</v>
      </c>
    </row>
    <row r="19" spans="1:3" x14ac:dyDescent="0.3">
      <c r="A19" s="24" t="s">
        <v>8</v>
      </c>
      <c r="B19" s="37">
        <f>INDEX('2022 Reference'!$A$1:$G$32,MATCH(Calculator!$A19,'2022 Reference'!$A$1:$A$32,0),MATCH(Calculator!B$2,'2022 Reference'!$A$1:$G$1,0))</f>
        <v>218.28</v>
      </c>
      <c r="C19" s="38">
        <v>220</v>
      </c>
    </row>
    <row r="20" spans="1:3" x14ac:dyDescent="0.3">
      <c r="A20" s="24" t="s">
        <v>9</v>
      </c>
      <c r="B20" s="37">
        <f>INDEX('2022 Reference'!$A$1:$G$32,MATCH(Calculator!$A20,'2022 Reference'!$A$1:$A$32,0),MATCH(Calculator!B$2,'2022 Reference'!$A$1:$G$1,0))</f>
        <v>111.8</v>
      </c>
      <c r="C20" s="38">
        <v>112</v>
      </c>
    </row>
    <row r="21" spans="1:3" x14ac:dyDescent="0.3">
      <c r="A21" s="24" t="s">
        <v>10</v>
      </c>
      <c r="B21" s="37">
        <f>INDEX('2022 Reference'!$A$1:$G$32,MATCH(Calculator!$A21,'2022 Reference'!$A$1:$A$32,0),MATCH(Calculator!B$2,'2022 Reference'!$A$1:$G$1,0))</f>
        <v>49.01</v>
      </c>
      <c r="C21" s="38">
        <v>49</v>
      </c>
    </row>
    <row r="22" spans="1:3" x14ac:dyDescent="0.3">
      <c r="A22" s="24" t="s">
        <v>12</v>
      </c>
      <c r="B22" s="37">
        <f>INDEX('2022 Reference'!$A$1:$G$32,MATCH(Calculator!$A22,'2022 Reference'!$A$1:$A$32,0),MATCH(Calculator!B$2,'2022 Reference'!$A$1:$G$1,0))</f>
        <v>30.92</v>
      </c>
      <c r="C22" s="38">
        <v>30</v>
      </c>
    </row>
    <row r="23" spans="1:3" x14ac:dyDescent="0.3">
      <c r="A23" s="24" t="s">
        <v>13</v>
      </c>
      <c r="B23" s="37">
        <f>INDEX('2022 Reference'!$A$1:$G$32,MATCH(Calculator!$A23,'2022 Reference'!$A$1:$A$32,0),MATCH(Calculator!B$2,'2022 Reference'!$A$1:$G$1,0))</f>
        <v>65.680000000000007</v>
      </c>
      <c r="C23" s="38">
        <v>66</v>
      </c>
    </row>
    <row r="24" spans="1:3" x14ac:dyDescent="0.3">
      <c r="A24" s="24" t="s">
        <v>14</v>
      </c>
      <c r="B24" s="37">
        <f>INDEX('2022 Reference'!$A$1:$G$32,MATCH(Calculator!$A24,'2022 Reference'!$A$1:$A$32,0),MATCH(Calculator!B$2,'2022 Reference'!$A$1:$G$1,0))</f>
        <v>26.96</v>
      </c>
      <c r="C24" s="38">
        <v>26</v>
      </c>
    </row>
    <row r="25" spans="1:3" x14ac:dyDescent="0.3">
      <c r="A25" s="24" t="s">
        <v>20</v>
      </c>
      <c r="B25" s="37">
        <f>INDEX('2022 Reference'!$A$1:$G$32,MATCH(Calculator!$A25,'2022 Reference'!$A$1:$A$32,0),MATCH(Calculator!B$2,'2022 Reference'!$A$1:$G$1,0))</f>
        <v>7.54</v>
      </c>
      <c r="C25" s="38">
        <v>8</v>
      </c>
    </row>
    <row r="26" spans="1:3" x14ac:dyDescent="0.3">
      <c r="A26" s="24" t="s">
        <v>15</v>
      </c>
      <c r="B26" s="37">
        <f>INDEX('2022 Reference'!$A$1:$G$32,MATCH(Calculator!$A26,'2022 Reference'!$A$1:$A$32,0),MATCH(Calculator!B$2,'2022 Reference'!$A$1:$G$1,0))</f>
        <v>215.83</v>
      </c>
      <c r="C26" s="38">
        <v>215</v>
      </c>
    </row>
    <row r="27" spans="1:3" x14ac:dyDescent="0.3">
      <c r="A27" s="24" t="s">
        <v>16</v>
      </c>
      <c r="B27" s="37">
        <f>INDEX('2022 Reference'!$A$1:$G$32,MATCH(Calculator!$A27,'2022 Reference'!$A$1:$A$32,0),MATCH(Calculator!B$2,'2022 Reference'!$A$1:$G$1,0))</f>
        <v>0.8</v>
      </c>
      <c r="C27" s="38">
        <v>0.8</v>
      </c>
    </row>
    <row r="28" spans="1:3" x14ac:dyDescent="0.3">
      <c r="A28" s="24" t="s">
        <v>23</v>
      </c>
      <c r="B28" s="37">
        <f>INDEX('2022 Reference'!$A$1:$G$32,MATCH(Calculator!$A28,'2022 Reference'!$A$1:$A$32,0),MATCH(Calculator!B$2,'2022 Reference'!$A$1:$G$1,0))</f>
        <v>0.78</v>
      </c>
      <c r="C28" s="38">
        <v>0.78</v>
      </c>
    </row>
    <row r="29" spans="1:3" x14ac:dyDescent="0.3">
      <c r="A29" s="24" t="s">
        <v>17</v>
      </c>
      <c r="B29" s="37">
        <f>INDEX('2022 Reference'!$A$1:$G$32,MATCH(Calculator!$A29,'2022 Reference'!$A$1:$A$32,0),MATCH(Calculator!B$2,'2022 Reference'!$A$1:$G$1,0))</f>
        <v>7.74</v>
      </c>
      <c r="C29" s="38">
        <v>8</v>
      </c>
    </row>
    <row r="30" spans="1:3" x14ac:dyDescent="0.3">
      <c r="A30" s="24" t="s">
        <v>18</v>
      </c>
      <c r="B30" s="37">
        <f>INDEX('2022 Reference'!$A$1:$G$32,MATCH(Calculator!$A30,'2022 Reference'!$A$1:$A$32,0),MATCH(Calculator!B$2,'2022 Reference'!$A$1:$G$1,0))</f>
        <v>1.34</v>
      </c>
      <c r="C30" s="38">
        <v>1</v>
      </c>
    </row>
    <row r="31" spans="1:3" x14ac:dyDescent="0.3">
      <c r="A31" s="50" t="s">
        <v>66</v>
      </c>
      <c r="B31" s="51"/>
      <c r="C31" s="52"/>
    </row>
    <row r="32" spans="1:3" x14ac:dyDescent="0.3">
      <c r="A32" s="24" t="s">
        <v>42</v>
      </c>
      <c r="B32" s="28">
        <v>0</v>
      </c>
      <c r="C32" s="38">
        <v>0</v>
      </c>
    </row>
    <row r="33" spans="1:3" x14ac:dyDescent="0.3">
      <c r="A33" s="24" t="s">
        <v>43</v>
      </c>
      <c r="B33" s="28">
        <v>0</v>
      </c>
      <c r="C33" s="38">
        <v>0</v>
      </c>
    </row>
    <row r="34" spans="1:3" x14ac:dyDescent="0.3">
      <c r="A34" s="50" t="s">
        <v>83</v>
      </c>
      <c r="B34" s="51"/>
      <c r="C34" s="52"/>
    </row>
    <row r="35" spans="1:3" x14ac:dyDescent="0.3">
      <c r="A35" s="24" t="s">
        <v>82</v>
      </c>
      <c r="B35" s="37">
        <f>INDEX('2022 Reference'!$A$1:$G$32,MATCH(Calculator!$A35,'2022 Reference'!$A$1:$A$32,0),MATCH(Calculator!B$2,'2022 Reference'!$A$1:$G$1,0))</f>
        <v>2.2000000000000002</v>
      </c>
      <c r="C35" s="38">
        <v>0</v>
      </c>
    </row>
    <row r="36" spans="1:3" x14ac:dyDescent="0.3">
      <c r="A36" s="24" t="s">
        <v>19</v>
      </c>
      <c r="B36" s="37">
        <f>INDEX('2022 Reference'!$A$1:$G$32,MATCH(Calculator!$A36,'2022 Reference'!$A$1:$A$32,0),MATCH(Calculator!B$2,'2022 Reference'!$A$1:$G$1,0))</f>
        <v>1.78</v>
      </c>
      <c r="C36" s="38">
        <v>0</v>
      </c>
    </row>
    <row r="37" spans="1:3" x14ac:dyDescent="0.3">
      <c r="A37" s="24" t="s">
        <v>30</v>
      </c>
      <c r="B37" s="37">
        <f>INDEX('2022 Reference'!$A$1:$G$32,MATCH(Calculator!$A37,'2022 Reference'!$A$1:$A$32,0),MATCH(Calculator!B$2,'2022 Reference'!$A$1:$G$1,0))</f>
        <v>1.39</v>
      </c>
      <c r="C37" s="38">
        <v>0</v>
      </c>
    </row>
    <row r="38" spans="1:3" x14ac:dyDescent="0.3">
      <c r="A38" s="24" t="s">
        <v>31</v>
      </c>
      <c r="B38" s="37">
        <f>INDEX('2022 Reference'!$A$1:$G$32,MATCH(Calculator!$A38,'2022 Reference'!$A$1:$A$32,0),MATCH(Calculator!B$2,'2022 Reference'!$A$1:$G$1,0))</f>
        <v>2.48</v>
      </c>
      <c r="C38" s="38">
        <v>0</v>
      </c>
    </row>
    <row r="39" spans="1:3" x14ac:dyDescent="0.3">
      <c r="A39" s="50" t="s">
        <v>108</v>
      </c>
      <c r="B39" s="51"/>
      <c r="C39" s="52"/>
    </row>
    <row r="40" spans="1:3" x14ac:dyDescent="0.3">
      <c r="A40" s="39" t="s">
        <v>84</v>
      </c>
      <c r="B40" s="28">
        <v>0</v>
      </c>
      <c r="C40" s="38">
        <v>85</v>
      </c>
    </row>
    <row r="41" spans="1:3" x14ac:dyDescent="0.3">
      <c r="A41" s="39" t="s">
        <v>11</v>
      </c>
      <c r="B41" s="28">
        <v>0</v>
      </c>
      <c r="C41" s="38">
        <v>0.5</v>
      </c>
    </row>
    <row r="42" spans="1:3" x14ac:dyDescent="0.3">
      <c r="A42" s="39" t="s">
        <v>85</v>
      </c>
      <c r="B42" s="28">
        <v>0</v>
      </c>
      <c r="C42" s="38">
        <v>0</v>
      </c>
    </row>
    <row r="43" spans="1:3" x14ac:dyDescent="0.3">
      <c r="A43" s="40" t="s">
        <v>72</v>
      </c>
      <c r="B43" s="41">
        <f>SUM(B18:B42)</f>
        <v>861.91</v>
      </c>
      <c r="C43" s="12">
        <f>SUM(C18:C42)</f>
        <v>939.07999999999993</v>
      </c>
    </row>
    <row r="44" spans="1:3" x14ac:dyDescent="0.3">
      <c r="A44" s="40" t="s">
        <v>71</v>
      </c>
      <c r="B44" s="41">
        <f>B15-B43</f>
        <v>167.09000000000003</v>
      </c>
      <c r="C44" s="12">
        <f>C15-C43</f>
        <v>89.920000000000073</v>
      </c>
    </row>
    <row r="45" spans="1:3" x14ac:dyDescent="0.3">
      <c r="A45" s="53" t="s">
        <v>46</v>
      </c>
      <c r="B45" s="54"/>
      <c r="C45" s="55"/>
    </row>
    <row r="46" spans="1:3" x14ac:dyDescent="0.3">
      <c r="A46" s="42" t="s">
        <v>95</v>
      </c>
      <c r="B46" s="37">
        <f>INDEX('2022 Reference'!$A$1:$G$32,MATCH(Calculator!$A46,'2022 Reference'!$A$1:$A$32,0),MATCH(Calculator!B$2,'2022 Reference'!$A$1:$G$1,0))</f>
        <v>5.23</v>
      </c>
      <c r="C46" s="38">
        <v>5</v>
      </c>
    </row>
    <row r="47" spans="1:3" x14ac:dyDescent="0.3">
      <c r="A47" s="42" t="s">
        <v>96</v>
      </c>
      <c r="B47" s="37">
        <f>INDEX('2022 Reference'!$A$1:$G$32,MATCH(Calculator!$A47,'2022 Reference'!$A$1:$A$32,0),MATCH(Calculator!B$2,'2022 Reference'!$A$1:$G$1,0))</f>
        <v>16.78</v>
      </c>
      <c r="C47" s="38">
        <v>17</v>
      </c>
    </row>
    <row r="48" spans="1:3" x14ac:dyDescent="0.3">
      <c r="A48" s="42" t="s">
        <v>97</v>
      </c>
      <c r="B48" s="37">
        <f>INDEX('2022 Reference'!$A$1:$G$32,MATCH(Calculator!$A48,'2022 Reference'!$A$1:$A$32,0),MATCH(Calculator!B$2,'2022 Reference'!$A$1:$G$1,0))</f>
        <v>27.02</v>
      </c>
      <c r="C48" s="38">
        <v>27</v>
      </c>
    </row>
    <row r="49" spans="1:3" x14ac:dyDescent="0.3">
      <c r="A49" s="42" t="s">
        <v>21</v>
      </c>
      <c r="B49" s="37">
        <f>INDEX('2022 Reference'!$A$1:$G$32,MATCH(Calculator!$A49,'2022 Reference'!$A$1:$A$32,0),MATCH(Calculator!B$2,'2022 Reference'!$A$1:$G$1,0))</f>
        <v>0</v>
      </c>
      <c r="C49" s="38">
        <v>0</v>
      </c>
    </row>
    <row r="50" spans="1:3" x14ac:dyDescent="0.3">
      <c r="A50" s="42" t="s">
        <v>78</v>
      </c>
      <c r="B50" s="37">
        <f>INDEX('2022 Reference'!$A$1:$G$32,MATCH(Calculator!$A50,'2022 Reference'!$A$1:$A$32,0),MATCH(Calculator!B$2,'2022 Reference'!$A$1:$G$1,0))</f>
        <v>3.46</v>
      </c>
      <c r="C50" s="38">
        <v>4</v>
      </c>
    </row>
    <row r="51" spans="1:3" x14ac:dyDescent="0.3">
      <c r="A51" s="42" t="s">
        <v>22</v>
      </c>
      <c r="B51" s="37">
        <f>INDEX('2022 Reference'!$A$1:$G$32,MATCH(Calculator!$A51,'2022 Reference'!$A$1:$A$32,0),MATCH(Calculator!B$2,'2022 Reference'!$A$1:$G$1,0))</f>
        <v>14.05</v>
      </c>
      <c r="C51" s="38">
        <v>14</v>
      </c>
    </row>
    <row r="52" spans="1:3" x14ac:dyDescent="0.3">
      <c r="A52" s="42" t="s">
        <v>99</v>
      </c>
      <c r="B52" s="37">
        <f>INDEX('2022 Reference'!$A$1:$G$32,MATCH(Calculator!$A52,'2022 Reference'!$A$1:$A$32,0),MATCH(Calculator!B$2,'2022 Reference'!$A$1:$G$1,0))</f>
        <v>3.88</v>
      </c>
      <c r="C52" s="38">
        <v>4</v>
      </c>
    </row>
    <row r="53" spans="1:3" x14ac:dyDescent="0.3">
      <c r="A53" s="42" t="s">
        <v>24</v>
      </c>
      <c r="B53" s="37">
        <f>INDEX('2022 Reference'!$A$1:$G$32,MATCH(Calculator!$A53,'2022 Reference'!$A$1:$A$32,0),MATCH(Calculator!B$2,'2022 Reference'!$A$1:$G$1,0))</f>
        <v>7.04</v>
      </c>
      <c r="C53" s="38">
        <v>7</v>
      </c>
    </row>
    <row r="54" spans="1:3" x14ac:dyDescent="0.3">
      <c r="A54" s="42" t="s">
        <v>25</v>
      </c>
      <c r="B54" s="37">
        <f>INDEX('2022 Reference'!$A$1:$G$32,MATCH(Calculator!$A54,'2022 Reference'!$A$1:$A$32,0),MATCH(Calculator!B$2,'2022 Reference'!$A$1:$G$1,0))</f>
        <v>7.09</v>
      </c>
      <c r="C54" s="38">
        <v>7</v>
      </c>
    </row>
    <row r="55" spans="1:3" x14ac:dyDescent="0.3">
      <c r="A55" s="42" t="s">
        <v>26</v>
      </c>
      <c r="B55" s="37">
        <f>INDEX('2022 Reference'!$A$1:$G$32,MATCH(Calculator!$A55,'2022 Reference'!$A$1:$A$32,0),MATCH(Calculator!B$2,'2022 Reference'!$A$1:$G$1,0))</f>
        <v>66.989999999999995</v>
      </c>
      <c r="C55" s="38">
        <v>65</v>
      </c>
    </row>
    <row r="56" spans="1:3" x14ac:dyDescent="0.3">
      <c r="A56" s="42" t="s">
        <v>98</v>
      </c>
      <c r="B56" s="37">
        <f>INDEX('2022 Reference'!$A$1:$G$32,MATCH(Calculator!$A56,'2022 Reference'!$A$1:$A$32,0),MATCH(Calculator!B$2,'2022 Reference'!$A$1:$G$1,0))</f>
        <v>5.62</v>
      </c>
      <c r="C56" s="38">
        <v>6</v>
      </c>
    </row>
    <row r="57" spans="1:3" x14ac:dyDescent="0.3">
      <c r="A57" s="40" t="s">
        <v>27</v>
      </c>
      <c r="B57" s="41">
        <f>SUM(B46:B56)</f>
        <v>157.16000000000003</v>
      </c>
      <c r="C57" s="12">
        <f>SUM(C46:C56)</f>
        <v>156</v>
      </c>
    </row>
    <row r="58" spans="1:3" x14ac:dyDescent="0.3">
      <c r="A58" s="40" t="s">
        <v>28</v>
      </c>
      <c r="B58" s="41">
        <f>B43+B57</f>
        <v>1019.0699999999999</v>
      </c>
      <c r="C58" s="12">
        <f>C43+C57</f>
        <v>1095.08</v>
      </c>
    </row>
    <row r="59" spans="1:3" x14ac:dyDescent="0.3">
      <c r="A59" s="24" t="s">
        <v>29</v>
      </c>
      <c r="B59" s="37">
        <f>B15-B58</f>
        <v>9.9300000000000637</v>
      </c>
      <c r="C59" s="29">
        <f>C15-C58</f>
        <v>-66.079999999999927</v>
      </c>
    </row>
    <row r="60" spans="1:3" x14ac:dyDescent="0.3">
      <c r="A60" s="24" t="s">
        <v>34</v>
      </c>
      <c r="B60" s="37">
        <v>32.119999999999997</v>
      </c>
      <c r="C60" s="38">
        <v>35</v>
      </c>
    </row>
    <row r="61" spans="1:3" x14ac:dyDescent="0.3">
      <c r="A61" s="40" t="s">
        <v>37</v>
      </c>
      <c r="B61" s="41">
        <f t="shared" ref="B61:C61" si="0">B58+B60</f>
        <v>1051.1899999999998</v>
      </c>
      <c r="C61" s="12">
        <f t="shared" si="0"/>
        <v>1130.08</v>
      </c>
    </row>
    <row r="62" spans="1:3" x14ac:dyDescent="0.3">
      <c r="A62" s="24" t="s">
        <v>35</v>
      </c>
      <c r="B62" s="37">
        <f t="shared" ref="B62:C62" si="1">B59-B60</f>
        <v>-22.189999999999934</v>
      </c>
      <c r="C62" s="29">
        <f t="shared" si="1"/>
        <v>-101.07999999999993</v>
      </c>
    </row>
    <row r="63" spans="1:3" x14ac:dyDescent="0.3">
      <c r="A63" s="24" t="s">
        <v>36</v>
      </c>
      <c r="B63" s="37">
        <f>B43/B8</f>
        <v>4.3975</v>
      </c>
      <c r="C63" s="29">
        <f>C43/C8</f>
        <v>108.54168751186018</v>
      </c>
    </row>
    <row r="64" spans="1:3" x14ac:dyDescent="0.3">
      <c r="A64" s="24" t="s">
        <v>38</v>
      </c>
      <c r="B64" s="37">
        <f>B58/B8</f>
        <v>5.199336734693877</v>
      </c>
      <c r="C64" s="29">
        <f>C58/C8</f>
        <v>126.57263615505371</v>
      </c>
    </row>
    <row r="65" spans="1:3" x14ac:dyDescent="0.3">
      <c r="A65" s="43" t="s">
        <v>59</v>
      </c>
      <c r="B65" s="44">
        <f>B61/B8</f>
        <v>5.3632142857142853</v>
      </c>
      <c r="C65" s="45">
        <f>C61/C8</f>
        <v>130.61804129935996</v>
      </c>
    </row>
    <row r="66" spans="1:3" x14ac:dyDescent="0.3">
      <c r="A66" s="40" t="s">
        <v>70</v>
      </c>
      <c r="B66" s="41">
        <f>SUM(B18:B30)</f>
        <v>854.06</v>
      </c>
      <c r="C66" s="12">
        <f>SUM(C18:C30)</f>
        <v>853.57999999999993</v>
      </c>
    </row>
    <row r="67" spans="1:3" x14ac:dyDescent="0.3">
      <c r="A67" s="40" t="s">
        <v>102</v>
      </c>
      <c r="B67" s="41">
        <f>SUM(B46:B56)</f>
        <v>157.16000000000003</v>
      </c>
      <c r="C67" s="12">
        <f>SUM(C46:C56)</f>
        <v>156</v>
      </c>
    </row>
    <row r="68" spans="1:3" x14ac:dyDescent="0.3">
      <c r="A68" s="40" t="s">
        <v>103</v>
      </c>
      <c r="B68" s="41">
        <f>SUM(B66:B67)</f>
        <v>1011.22</v>
      </c>
      <c r="C68" s="12">
        <f>SUM(C66:C67)</f>
        <v>1009.5799999999999</v>
      </c>
    </row>
    <row r="69" spans="1:3" x14ac:dyDescent="0.3">
      <c r="A69" s="46" t="s">
        <v>106</v>
      </c>
      <c r="B69" s="47">
        <f>B68+B60</f>
        <v>1043.3399999999999</v>
      </c>
      <c r="C69" s="2">
        <f>C68+C60</f>
        <v>1044.58</v>
      </c>
    </row>
  </sheetData>
  <sheetProtection algorithmName="SHA-512" hashValue="qYye/dnzlYKl2K/ZKa36eJA2nEsHqPRHZBW6r4aYeZLnCykG6RPg/ODKn3Xc9oOFvR7BrUGB1AVhH3t+Dc6wNw==" saltValue="wDWMnGvCsHTKMcOPMIumRA==" spinCount="100000" sheet="1" objects="1" scenarios="1"/>
  <mergeCells count="6">
    <mergeCell ref="A16:B16"/>
    <mergeCell ref="A31:C31"/>
    <mergeCell ref="A34:C34"/>
    <mergeCell ref="A39:C39"/>
    <mergeCell ref="A45:C45"/>
    <mergeCell ref="A17:C17"/>
  </mergeCells>
  <dataValidations count="3">
    <dataValidation type="list" allowBlank="1" showInputMessage="1" showErrorMessage="1" sqref="C4" xr:uid="{417060B2-BA2D-45A8-888F-7774A562F1BE}">
      <formula1>Crop</formula1>
    </dataValidation>
    <dataValidation type="list" allowBlank="1" showInputMessage="1" showErrorMessage="1" sqref="B6" xr:uid="{7556A733-5D62-45D0-8EDC-A6163DF0B29E}">
      <formula1>Moisture</formula1>
    </dataValidation>
    <dataValidation type="list" allowBlank="1" showInputMessage="1" showErrorMessage="1" sqref="B2" xr:uid="{0BBD356B-0E7B-401A-839F-F6E542817410}">
      <formula1>State_tenure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ABC54-AB0B-47A8-BCA5-88157B9E6E41}">
  <sheetPr>
    <tabColor rgb="FFFFC000"/>
  </sheetPr>
  <dimension ref="A1:G32"/>
  <sheetViews>
    <sheetView workbookViewId="0">
      <pane xSplit="1" ySplit="1" topLeftCell="B2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ColWidth="9.109375" defaultRowHeight="14.4" x14ac:dyDescent="0.3"/>
  <cols>
    <col min="1" max="1" width="30.6640625" style="1" customWidth="1"/>
    <col min="2" max="7" width="12.6640625" style="1" customWidth="1"/>
    <col min="8" max="16384" width="9.109375" style="1"/>
  </cols>
  <sheetData>
    <row r="1" spans="1:7" x14ac:dyDescent="0.3">
      <c r="A1" s="1" t="s">
        <v>81</v>
      </c>
      <c r="B1" s="1" t="s">
        <v>76</v>
      </c>
      <c r="C1" s="1" t="s">
        <v>87</v>
      </c>
      <c r="D1" s="1" t="s">
        <v>88</v>
      </c>
      <c r="E1" s="1" t="s">
        <v>75</v>
      </c>
      <c r="F1" s="1" t="s">
        <v>89</v>
      </c>
      <c r="G1" s="1" t="s">
        <v>90</v>
      </c>
    </row>
    <row r="2" spans="1:7" x14ac:dyDescent="0.3">
      <c r="A2" s="11" t="s">
        <v>7</v>
      </c>
      <c r="B2" s="1">
        <v>111.57</v>
      </c>
      <c r="C2" s="1">
        <v>113.12</v>
      </c>
      <c r="D2" s="1">
        <v>111.67</v>
      </c>
      <c r="E2" s="1">
        <v>104.85</v>
      </c>
      <c r="F2" s="1">
        <v>102.8</v>
      </c>
      <c r="G2" s="1">
        <v>117.38</v>
      </c>
    </row>
    <row r="3" spans="1:7" x14ac:dyDescent="0.3">
      <c r="A3" s="11" t="s">
        <v>8</v>
      </c>
      <c r="B3" s="1">
        <v>211.72</v>
      </c>
      <c r="C3" s="1">
        <v>210.17</v>
      </c>
      <c r="D3" s="1">
        <v>213.99</v>
      </c>
      <c r="E3" s="1">
        <v>183.37</v>
      </c>
      <c r="F3" s="1">
        <v>188.55</v>
      </c>
      <c r="G3" s="1">
        <v>218.28</v>
      </c>
    </row>
    <row r="4" spans="1:7" x14ac:dyDescent="0.3">
      <c r="A4" s="11" t="s">
        <v>9</v>
      </c>
      <c r="B4" s="1">
        <v>51.86</v>
      </c>
      <c r="C4" s="1">
        <v>54.2</v>
      </c>
      <c r="D4" s="1">
        <v>51.6</v>
      </c>
      <c r="E4" s="1">
        <v>93.78</v>
      </c>
      <c r="F4" s="1">
        <v>84.14</v>
      </c>
      <c r="G4" s="1">
        <v>111.8</v>
      </c>
    </row>
    <row r="5" spans="1:7" x14ac:dyDescent="0.3">
      <c r="A5" s="11" t="s">
        <v>10</v>
      </c>
      <c r="B5" s="1">
        <v>34.119999999999997</v>
      </c>
      <c r="C5" s="1">
        <v>35.090000000000003</v>
      </c>
      <c r="D5" s="1">
        <v>34.090000000000003</v>
      </c>
      <c r="E5" s="1">
        <v>38.96</v>
      </c>
      <c r="F5" s="1">
        <v>33.5</v>
      </c>
      <c r="G5" s="1">
        <v>49.01</v>
      </c>
    </row>
    <row r="6" spans="1:7" x14ac:dyDescent="0.3">
      <c r="A6" s="11" t="s">
        <v>82</v>
      </c>
      <c r="B6" s="1">
        <v>18.190000000000001</v>
      </c>
      <c r="C6" s="1">
        <v>18.88</v>
      </c>
      <c r="D6" s="1">
        <v>18.25</v>
      </c>
      <c r="E6" s="1">
        <v>2.61</v>
      </c>
      <c r="F6" s="1">
        <v>3.66</v>
      </c>
      <c r="G6" s="1">
        <v>2.2000000000000002</v>
      </c>
    </row>
    <row r="7" spans="1:7" x14ac:dyDescent="0.3">
      <c r="A7" s="11" t="s">
        <v>19</v>
      </c>
      <c r="B7" s="1">
        <v>1.03</v>
      </c>
      <c r="C7" s="1">
        <v>0.84</v>
      </c>
      <c r="D7" s="1">
        <v>1.1100000000000001</v>
      </c>
      <c r="E7" s="1">
        <v>1.87</v>
      </c>
      <c r="F7" s="1">
        <v>2.2599999999999998</v>
      </c>
      <c r="G7" s="1">
        <v>1.78</v>
      </c>
    </row>
    <row r="8" spans="1:7" x14ac:dyDescent="0.3">
      <c r="A8" s="11" t="s">
        <v>12</v>
      </c>
      <c r="B8" s="1">
        <v>38.69</v>
      </c>
      <c r="C8" s="1">
        <v>39.35</v>
      </c>
      <c r="D8" s="1">
        <v>38.65</v>
      </c>
      <c r="E8" s="1">
        <v>29.51</v>
      </c>
      <c r="F8" s="1">
        <v>26.94</v>
      </c>
      <c r="G8" s="1">
        <v>30.92</v>
      </c>
    </row>
    <row r="9" spans="1:7" x14ac:dyDescent="0.3">
      <c r="A9" s="11" t="s">
        <v>13</v>
      </c>
      <c r="B9" s="1">
        <v>65.59</v>
      </c>
      <c r="C9" s="1">
        <v>66.959999999999994</v>
      </c>
      <c r="D9" s="1">
        <v>65.38</v>
      </c>
      <c r="E9" s="1">
        <v>61.1</v>
      </c>
      <c r="F9" s="1">
        <v>60.31</v>
      </c>
      <c r="G9" s="1">
        <v>65.680000000000007</v>
      </c>
    </row>
    <row r="10" spans="1:7" x14ac:dyDescent="0.3">
      <c r="A10" s="11" t="s">
        <v>14</v>
      </c>
      <c r="B10" s="1">
        <v>16.48</v>
      </c>
      <c r="C10" s="1">
        <v>17.47</v>
      </c>
      <c r="D10" s="1">
        <v>16.260000000000002</v>
      </c>
      <c r="E10" s="1">
        <v>28.56</v>
      </c>
      <c r="F10" s="1">
        <v>3.76</v>
      </c>
      <c r="G10" s="1">
        <v>26.96</v>
      </c>
    </row>
    <row r="11" spans="1:7" x14ac:dyDescent="0.3">
      <c r="A11" s="11" t="s">
        <v>20</v>
      </c>
      <c r="B11" s="1">
        <v>3.71</v>
      </c>
      <c r="C11" s="1">
        <v>3.6</v>
      </c>
      <c r="D11" s="1">
        <v>3.8</v>
      </c>
      <c r="E11" s="1">
        <v>6.24</v>
      </c>
      <c r="F11" s="1">
        <v>0.99</v>
      </c>
      <c r="G11" s="1">
        <v>7.54</v>
      </c>
    </row>
    <row r="12" spans="1:7" x14ac:dyDescent="0.3">
      <c r="A12" s="11" t="s">
        <v>15</v>
      </c>
      <c r="B12" s="1">
        <v>168.81</v>
      </c>
      <c r="C12" s="1">
        <v>0</v>
      </c>
      <c r="D12" s="1">
        <v>226.31</v>
      </c>
      <c r="E12" s="1">
        <v>107.92</v>
      </c>
      <c r="F12" s="1">
        <v>0</v>
      </c>
      <c r="G12" s="1">
        <v>215.83</v>
      </c>
    </row>
    <row r="13" spans="1:7" x14ac:dyDescent="0.3">
      <c r="A13" s="11" t="s">
        <v>16</v>
      </c>
      <c r="B13" s="1">
        <v>2.8</v>
      </c>
      <c r="C13" s="1">
        <v>1.83</v>
      </c>
      <c r="D13" s="1">
        <v>3.13</v>
      </c>
      <c r="E13" s="1">
        <v>1.06</v>
      </c>
      <c r="F13" s="1">
        <v>0.62</v>
      </c>
      <c r="G13" s="1">
        <v>0.8</v>
      </c>
    </row>
    <row r="14" spans="1:7" x14ac:dyDescent="0.3">
      <c r="A14" s="11" t="s">
        <v>23</v>
      </c>
      <c r="B14" s="1">
        <v>1.24</v>
      </c>
      <c r="C14" s="1">
        <v>1.44</v>
      </c>
      <c r="D14" s="1">
        <v>1.19</v>
      </c>
      <c r="E14" s="1">
        <v>1.1100000000000001</v>
      </c>
      <c r="F14" s="1">
        <v>1.07</v>
      </c>
      <c r="G14" s="1">
        <v>0.78</v>
      </c>
    </row>
    <row r="15" spans="1:7" x14ac:dyDescent="0.3">
      <c r="A15" s="11" t="s">
        <v>30</v>
      </c>
      <c r="B15" s="1">
        <v>2.4300000000000002</v>
      </c>
      <c r="C15" s="1">
        <v>2.99</v>
      </c>
      <c r="D15" s="1">
        <v>2.29</v>
      </c>
      <c r="E15" s="1">
        <v>0.96</v>
      </c>
      <c r="F15" s="1">
        <v>0</v>
      </c>
      <c r="G15" s="1">
        <v>1.39</v>
      </c>
    </row>
    <row r="16" spans="1:7" x14ac:dyDescent="0.3">
      <c r="A16" s="11" t="s">
        <v>31</v>
      </c>
      <c r="B16" s="1">
        <v>1.58</v>
      </c>
      <c r="C16" s="1">
        <v>1.7</v>
      </c>
      <c r="D16" s="1">
        <v>1.56</v>
      </c>
      <c r="E16" s="1">
        <v>2.2799999999999998</v>
      </c>
      <c r="F16" s="1">
        <v>2.08</v>
      </c>
      <c r="G16" s="1">
        <v>2.48</v>
      </c>
    </row>
    <row r="17" spans="1:7" x14ac:dyDescent="0.3">
      <c r="A17" s="11" t="s">
        <v>17</v>
      </c>
      <c r="B17" s="1">
        <v>9.92</v>
      </c>
      <c r="C17" s="1">
        <v>9.6300000000000008</v>
      </c>
      <c r="D17" s="1">
        <v>10.06</v>
      </c>
      <c r="E17" s="1">
        <v>6.64</v>
      </c>
      <c r="F17" s="1">
        <v>5.45</v>
      </c>
      <c r="G17" s="1">
        <v>7.74</v>
      </c>
    </row>
    <row r="18" spans="1:7" x14ac:dyDescent="0.3">
      <c r="A18" s="11" t="s">
        <v>18</v>
      </c>
      <c r="B18" s="1">
        <v>3.05</v>
      </c>
      <c r="C18" s="1">
        <v>3.12</v>
      </c>
      <c r="D18" s="1">
        <v>3.04</v>
      </c>
      <c r="E18" s="1">
        <v>1.7</v>
      </c>
      <c r="F18" s="1">
        <v>1.99</v>
      </c>
      <c r="G18" s="1">
        <v>1.34</v>
      </c>
    </row>
    <row r="19" spans="1:7" x14ac:dyDescent="0.3">
      <c r="A19" s="11" t="s">
        <v>92</v>
      </c>
      <c r="B19" s="1">
        <f t="shared" ref="B19:G19" si="0">SUM(B2:B18)</f>
        <v>742.78999999999985</v>
      </c>
      <c r="C19" s="1">
        <f t="shared" si="0"/>
        <v>580.3900000000001</v>
      </c>
      <c r="D19" s="1">
        <f t="shared" si="0"/>
        <v>802.37999999999977</v>
      </c>
      <c r="E19" s="1">
        <f t="shared" si="0"/>
        <v>672.51999999999987</v>
      </c>
      <c r="F19" s="1">
        <f t="shared" si="0"/>
        <v>518.12</v>
      </c>
      <c r="G19" s="1">
        <f t="shared" si="0"/>
        <v>861.91</v>
      </c>
    </row>
    <row r="20" spans="1:7" x14ac:dyDescent="0.3">
      <c r="A20" s="11" t="s">
        <v>95</v>
      </c>
      <c r="B20" s="1">
        <v>0</v>
      </c>
      <c r="C20" s="1">
        <v>0</v>
      </c>
      <c r="D20" s="1">
        <v>0</v>
      </c>
      <c r="E20" s="1">
        <v>5.99</v>
      </c>
      <c r="F20" s="1">
        <v>5.58</v>
      </c>
      <c r="G20" s="1">
        <v>5.23</v>
      </c>
    </row>
    <row r="21" spans="1:7" x14ac:dyDescent="0.3">
      <c r="A21" s="11" t="s">
        <v>96</v>
      </c>
      <c r="B21" s="1">
        <v>16.28</v>
      </c>
      <c r="C21" s="1">
        <v>15.42</v>
      </c>
      <c r="D21" s="1">
        <v>16.690000000000001</v>
      </c>
      <c r="E21" s="1">
        <v>19.25</v>
      </c>
      <c r="F21" s="1">
        <v>34.200000000000003</v>
      </c>
      <c r="G21" s="1">
        <v>16.78</v>
      </c>
    </row>
    <row r="22" spans="1:7" x14ac:dyDescent="0.3">
      <c r="A22" s="11" t="s">
        <v>97</v>
      </c>
      <c r="B22" s="1">
        <v>3.92</v>
      </c>
      <c r="C22" s="1">
        <v>3.12</v>
      </c>
      <c r="D22" s="1">
        <v>4.2</v>
      </c>
      <c r="E22" s="1">
        <v>31.21</v>
      </c>
      <c r="F22" s="1">
        <v>11.12</v>
      </c>
      <c r="G22" s="1">
        <v>27.02</v>
      </c>
    </row>
    <row r="23" spans="1:7" x14ac:dyDescent="0.3">
      <c r="A23" s="11" t="s">
        <v>21</v>
      </c>
      <c r="B23" s="1">
        <v>1.46</v>
      </c>
      <c r="C23" s="1">
        <v>0.79</v>
      </c>
      <c r="D23" s="1">
        <v>1.69</v>
      </c>
      <c r="E23" s="1">
        <v>0.61</v>
      </c>
      <c r="F23" s="1">
        <v>0</v>
      </c>
      <c r="G23" s="1">
        <v>0</v>
      </c>
    </row>
    <row r="24" spans="1:7" x14ac:dyDescent="0.3">
      <c r="A24" s="11" t="s">
        <v>78</v>
      </c>
      <c r="B24" s="1">
        <v>8.33</v>
      </c>
      <c r="C24" s="1">
        <v>35.049999999999997</v>
      </c>
      <c r="D24" s="1">
        <v>0</v>
      </c>
      <c r="E24" s="1">
        <v>20.51</v>
      </c>
      <c r="F24" s="1">
        <v>69.52</v>
      </c>
      <c r="G24" s="1">
        <v>3.46</v>
      </c>
    </row>
    <row r="25" spans="1:7" x14ac:dyDescent="0.3">
      <c r="A25" s="11" t="s">
        <v>22</v>
      </c>
      <c r="B25" s="1">
        <v>12.63</v>
      </c>
      <c r="C25" s="1">
        <v>14.92</v>
      </c>
      <c r="D25" s="1">
        <v>11.97</v>
      </c>
      <c r="E25" s="1">
        <v>14.37</v>
      </c>
      <c r="F25" s="1">
        <v>14.51</v>
      </c>
      <c r="G25" s="1">
        <v>14.05</v>
      </c>
    </row>
    <row r="26" spans="1:7" x14ac:dyDescent="0.3">
      <c r="A26" s="11" t="s">
        <v>99</v>
      </c>
      <c r="B26" s="1">
        <v>6.23</v>
      </c>
      <c r="C26" s="1">
        <v>7.36</v>
      </c>
      <c r="D26" s="1">
        <v>5.9</v>
      </c>
      <c r="E26" s="1">
        <v>3.62</v>
      </c>
      <c r="F26" s="1">
        <v>3.88</v>
      </c>
      <c r="G26" s="1">
        <v>3.88</v>
      </c>
    </row>
    <row r="27" spans="1:7" x14ac:dyDescent="0.3">
      <c r="A27" s="11" t="s">
        <v>24</v>
      </c>
      <c r="B27" s="1">
        <v>4.9800000000000004</v>
      </c>
      <c r="C27" s="1">
        <v>5.09</v>
      </c>
      <c r="D27" s="1">
        <v>4.9800000000000004</v>
      </c>
      <c r="E27" s="1">
        <v>6.33</v>
      </c>
      <c r="F27" s="1">
        <v>3.82</v>
      </c>
      <c r="G27" s="1">
        <v>7.04</v>
      </c>
    </row>
    <row r="28" spans="1:7" x14ac:dyDescent="0.3">
      <c r="A28" s="11" t="s">
        <v>25</v>
      </c>
      <c r="B28" s="1">
        <v>24.21</v>
      </c>
      <c r="C28" s="1">
        <v>82.77</v>
      </c>
      <c r="D28" s="1">
        <v>5.99</v>
      </c>
      <c r="E28" s="1">
        <v>22.91</v>
      </c>
      <c r="F28" s="1">
        <v>71.78</v>
      </c>
      <c r="G28" s="1">
        <v>7.09</v>
      </c>
    </row>
    <row r="29" spans="1:7" x14ac:dyDescent="0.3">
      <c r="A29" s="11" t="s">
        <v>26</v>
      </c>
      <c r="B29" s="1">
        <v>60.9</v>
      </c>
      <c r="C29" s="1">
        <v>73.64</v>
      </c>
      <c r="D29" s="1">
        <v>57.04</v>
      </c>
      <c r="E29" s="1">
        <v>66.11</v>
      </c>
      <c r="F29" s="1">
        <v>66.23</v>
      </c>
      <c r="G29" s="1">
        <v>66.989999999999995</v>
      </c>
    </row>
    <row r="30" spans="1:7" x14ac:dyDescent="0.3">
      <c r="A30" s="11" t="s">
        <v>98</v>
      </c>
      <c r="B30" s="1">
        <v>8</v>
      </c>
      <c r="C30" s="1">
        <v>9.8800000000000008</v>
      </c>
      <c r="D30" s="1">
        <v>7.39</v>
      </c>
      <c r="E30" s="1">
        <v>4.54</v>
      </c>
      <c r="F30" s="1">
        <v>4.5999999999999996</v>
      </c>
      <c r="G30" s="1">
        <v>5.62</v>
      </c>
    </row>
    <row r="31" spans="1:7" x14ac:dyDescent="0.3">
      <c r="A31" s="11" t="s">
        <v>93</v>
      </c>
      <c r="B31" s="1">
        <f t="shared" ref="B31:D31" si="1">SUM(B20:B30)</f>
        <v>146.94000000000003</v>
      </c>
      <c r="C31" s="1">
        <f t="shared" si="1"/>
        <v>248.03999999999996</v>
      </c>
      <c r="D31" s="1">
        <f t="shared" si="1"/>
        <v>115.85000000000001</v>
      </c>
      <c r="E31" s="1">
        <f>SUM(E20:E30)</f>
        <v>195.45000000000002</v>
      </c>
      <c r="F31" s="1">
        <f>SUM(F20:F30)</f>
        <v>285.24</v>
      </c>
      <c r="G31" s="1">
        <f>SUM(G20:G30)</f>
        <v>157.16000000000003</v>
      </c>
    </row>
    <row r="32" spans="1:7" x14ac:dyDescent="0.3">
      <c r="A32" s="11" t="s">
        <v>94</v>
      </c>
      <c r="B32" s="1">
        <f t="shared" ref="B32:G32" si="2">SUM(B19,B31)</f>
        <v>889.7299999999999</v>
      </c>
      <c r="C32" s="1">
        <f t="shared" si="2"/>
        <v>828.43000000000006</v>
      </c>
      <c r="D32" s="1">
        <f t="shared" si="2"/>
        <v>918.22999999999979</v>
      </c>
      <c r="E32" s="1">
        <f t="shared" si="2"/>
        <v>867.96999999999991</v>
      </c>
      <c r="F32" s="1">
        <f t="shared" si="2"/>
        <v>803.36</v>
      </c>
      <c r="G32" s="1">
        <f t="shared" si="2"/>
        <v>1019.0699999999999</v>
      </c>
    </row>
  </sheetData>
  <sheetProtection algorithmName="SHA-512" hashValue="/nq+31z6ldnrHS5CnA5FX+eKzhvoOa8tUjwFrASG0C/CzcYBTdPfDOc55rO/NxP/qhSeQFhGKJ+TARXiV2imQA==" saltValue="B9Acrzk3ynmLpb6U6ONy4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2B27-D5C1-4242-97D8-2CD2C8B19D63}">
  <sheetPr>
    <tabColor rgb="FFFF9B9B"/>
  </sheetPr>
  <dimension ref="A1:J28"/>
  <sheetViews>
    <sheetView workbookViewId="0">
      <selection activeCell="E14" sqref="E14"/>
    </sheetView>
  </sheetViews>
  <sheetFormatPr defaultColWidth="9.109375" defaultRowHeight="14.4" x14ac:dyDescent="0.3"/>
  <cols>
    <col min="1" max="1" width="19.109375" style="1" bestFit="1" customWidth="1"/>
    <col min="2" max="7" width="9.109375" style="1"/>
    <col min="8" max="8" width="10.6640625" style="1" bestFit="1" customWidth="1"/>
    <col min="9" max="9" width="9.109375" style="1"/>
    <col min="10" max="10" width="12.5546875" style="1" bestFit="1" customWidth="1"/>
    <col min="11" max="16384" width="9.109375" style="1"/>
  </cols>
  <sheetData>
    <row r="1" spans="1:10" ht="28.8" x14ac:dyDescent="0.3">
      <c r="A1" s="9" t="s">
        <v>0</v>
      </c>
      <c r="B1" s="9"/>
      <c r="C1" s="9" t="s">
        <v>60</v>
      </c>
      <c r="D1" s="9"/>
      <c r="E1" s="9" t="s">
        <v>67</v>
      </c>
      <c r="F1" s="9" t="s">
        <v>68</v>
      </c>
      <c r="H1" s="1" t="s">
        <v>2</v>
      </c>
      <c r="J1" s="1" t="s">
        <v>91</v>
      </c>
    </row>
    <row r="2" spans="1:10" x14ac:dyDescent="0.3">
      <c r="A2" s="1" t="s">
        <v>39</v>
      </c>
      <c r="C2" s="1" t="s">
        <v>1</v>
      </c>
      <c r="E2" s="10">
        <v>0.11</v>
      </c>
      <c r="F2" s="6">
        <v>53.17</v>
      </c>
      <c r="H2" s="1" t="s">
        <v>41</v>
      </c>
      <c r="J2" s="1" t="s">
        <v>76</v>
      </c>
    </row>
    <row r="3" spans="1:10" x14ac:dyDescent="0.3">
      <c r="A3" s="1" t="s">
        <v>61</v>
      </c>
      <c r="C3" s="1" t="s">
        <v>40</v>
      </c>
      <c r="E3" s="10">
        <v>0.12</v>
      </c>
      <c r="F3" s="6">
        <v>53.77</v>
      </c>
      <c r="H3" s="1" t="s">
        <v>73</v>
      </c>
      <c r="J3" s="1" t="s">
        <v>87</v>
      </c>
    </row>
    <row r="4" spans="1:10" x14ac:dyDescent="0.3">
      <c r="A4" s="1" t="s">
        <v>65</v>
      </c>
      <c r="E4" s="10">
        <v>0.13</v>
      </c>
      <c r="F4" s="6">
        <v>54.39</v>
      </c>
      <c r="H4" s="1" t="s">
        <v>74</v>
      </c>
      <c r="J4" s="1" t="s">
        <v>88</v>
      </c>
    </row>
    <row r="5" spans="1:10" x14ac:dyDescent="0.3">
      <c r="A5" s="1" t="s">
        <v>62</v>
      </c>
      <c r="E5" s="10">
        <v>0.14000000000000001</v>
      </c>
      <c r="F5" s="6">
        <v>55.02</v>
      </c>
      <c r="J5" s="1" t="s">
        <v>75</v>
      </c>
    </row>
    <row r="6" spans="1:10" x14ac:dyDescent="0.3">
      <c r="E6" s="10">
        <v>0.15</v>
      </c>
      <c r="F6" s="6">
        <v>55.67</v>
      </c>
      <c r="J6" s="1" t="s">
        <v>89</v>
      </c>
    </row>
    <row r="7" spans="1:10" x14ac:dyDescent="0.3">
      <c r="E7" s="10">
        <v>0.155</v>
      </c>
      <c r="F7" s="6">
        <v>56</v>
      </c>
      <c r="J7" s="1" t="s">
        <v>90</v>
      </c>
    </row>
    <row r="8" spans="1:10" x14ac:dyDescent="0.3">
      <c r="E8" s="10">
        <v>0.16</v>
      </c>
      <c r="F8" s="6">
        <v>56.33</v>
      </c>
    </row>
    <row r="9" spans="1:10" x14ac:dyDescent="0.3">
      <c r="E9" s="10">
        <v>0.17</v>
      </c>
      <c r="F9" s="6">
        <v>57.01</v>
      </c>
    </row>
    <row r="10" spans="1:10" x14ac:dyDescent="0.3">
      <c r="E10" s="10">
        <v>0.18</v>
      </c>
      <c r="F10" s="6">
        <v>57.71</v>
      </c>
    </row>
    <row r="11" spans="1:10" x14ac:dyDescent="0.3">
      <c r="E11" s="10">
        <v>0.19</v>
      </c>
      <c r="F11" s="6">
        <v>58.42</v>
      </c>
    </row>
    <row r="12" spans="1:10" x14ac:dyDescent="0.3">
      <c r="E12" s="10">
        <v>0.2</v>
      </c>
      <c r="F12" s="6">
        <v>59.15</v>
      </c>
    </row>
    <row r="13" spans="1:10" x14ac:dyDescent="0.3">
      <c r="E13" s="10">
        <v>0.21</v>
      </c>
      <c r="F13" s="6">
        <v>59.9</v>
      </c>
    </row>
    <row r="14" spans="1:10" x14ac:dyDescent="0.3">
      <c r="E14" s="10">
        <v>0.22</v>
      </c>
      <c r="F14" s="6">
        <v>60.67</v>
      </c>
    </row>
    <row r="15" spans="1:10" x14ac:dyDescent="0.3">
      <c r="E15" s="10">
        <v>0.23</v>
      </c>
      <c r="F15" s="6">
        <v>61.45</v>
      </c>
    </row>
    <row r="16" spans="1:10" x14ac:dyDescent="0.3">
      <c r="E16" s="10">
        <v>0.24</v>
      </c>
      <c r="F16" s="6">
        <v>62.26</v>
      </c>
    </row>
    <row r="17" spans="5:6" x14ac:dyDescent="0.3">
      <c r="E17" s="10">
        <v>0.25</v>
      </c>
      <c r="F17" s="6">
        <v>63.09</v>
      </c>
    </row>
    <row r="18" spans="5:6" x14ac:dyDescent="0.3">
      <c r="E18" s="10">
        <v>0.26</v>
      </c>
      <c r="F18" s="6">
        <v>63.95</v>
      </c>
    </row>
    <row r="19" spans="5:6" x14ac:dyDescent="0.3">
      <c r="E19" s="10">
        <v>0.27</v>
      </c>
      <c r="F19" s="6">
        <v>64.819999999999993</v>
      </c>
    </row>
    <row r="20" spans="5:6" x14ac:dyDescent="0.3">
      <c r="E20" s="10">
        <v>0.28000000000000003</v>
      </c>
      <c r="F20" s="6">
        <v>65.72</v>
      </c>
    </row>
    <row r="21" spans="5:6" x14ac:dyDescent="0.3">
      <c r="E21" s="10">
        <v>0.28999999999999998</v>
      </c>
      <c r="F21" s="6">
        <v>66.650000000000006</v>
      </c>
    </row>
    <row r="22" spans="5:6" x14ac:dyDescent="0.3">
      <c r="E22" s="10">
        <v>0.3</v>
      </c>
      <c r="F22" s="6">
        <v>67.599999999999994</v>
      </c>
    </row>
    <row r="23" spans="5:6" x14ac:dyDescent="0.3">
      <c r="E23" s="10">
        <v>0.31</v>
      </c>
      <c r="F23" s="6">
        <v>68.58</v>
      </c>
    </row>
    <row r="24" spans="5:6" x14ac:dyDescent="0.3">
      <c r="E24" s="10">
        <v>0.32</v>
      </c>
      <c r="F24" s="6">
        <v>69.59</v>
      </c>
    </row>
    <row r="25" spans="5:6" x14ac:dyDescent="0.3">
      <c r="E25" s="10">
        <v>0.33</v>
      </c>
      <c r="F25" s="6">
        <v>70.63</v>
      </c>
    </row>
    <row r="26" spans="5:6" x14ac:dyDescent="0.3">
      <c r="E26" s="10">
        <v>0.34</v>
      </c>
      <c r="F26" s="6">
        <v>71.7</v>
      </c>
    </row>
    <row r="27" spans="5:6" x14ac:dyDescent="0.3">
      <c r="E27" s="10">
        <v>0.35</v>
      </c>
      <c r="F27" s="6">
        <v>72.8</v>
      </c>
    </row>
    <row r="28" spans="5:6" x14ac:dyDescent="0.3">
      <c r="E28" s="10">
        <v>0.36</v>
      </c>
      <c r="F28" s="6">
        <v>73.94</v>
      </c>
    </row>
  </sheetData>
  <sheetProtection algorithmName="SHA-512" hashValue="7OypqKdltfXCx3j+T9dvqWj8QBnDF+Qf/783cxGMlKX0kZCQq9B/pVSZ8Ird1CZhV20dcntGGXoDO3CS39xfDA==" saltValue="VKHvtIuonkFlkXE3usHvzw==" spinCount="100000" sheet="1" objects="1" scenarios="1"/>
  <autoFilter ref="J1:J7" xr:uid="{4C832B27-D5C1-4242-97D8-2CD2C8B19D63}">
    <sortState xmlns:xlrd2="http://schemas.microsoft.com/office/spreadsheetml/2017/richdata2" ref="J2:J7">
      <sortCondition ref="J1:J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1FE7-4622-4DB6-BE1A-700F1F15A99F}">
  <sheetPr>
    <tabColor rgb="FFFF9B9B"/>
  </sheetPr>
  <dimension ref="A1:G32"/>
  <sheetViews>
    <sheetView workbookViewId="0">
      <selection activeCell="E14" sqref="E14"/>
    </sheetView>
  </sheetViews>
  <sheetFormatPr defaultColWidth="9.109375" defaultRowHeight="14.4" x14ac:dyDescent="0.3"/>
  <cols>
    <col min="1" max="1" width="15" style="1" customWidth="1"/>
    <col min="2" max="2" width="9.109375" style="1"/>
    <col min="3" max="4" width="26.44140625" style="1" bestFit="1" customWidth="1"/>
    <col min="5" max="16384" width="9.109375" style="1"/>
  </cols>
  <sheetData>
    <row r="1" spans="1:7" ht="31.5" customHeight="1" x14ac:dyDescent="0.3">
      <c r="A1" s="56" t="s">
        <v>47</v>
      </c>
      <c r="B1" s="56"/>
      <c r="C1" s="56"/>
      <c r="D1" s="56"/>
      <c r="E1" s="56"/>
      <c r="F1" s="56"/>
      <c r="G1" s="57"/>
    </row>
    <row r="2" spans="1:7" x14ac:dyDescent="0.3">
      <c r="A2" s="1" t="s">
        <v>48</v>
      </c>
      <c r="B2" s="5"/>
      <c r="C2" s="5" t="s">
        <v>49</v>
      </c>
      <c r="D2" s="5" t="s">
        <v>50</v>
      </c>
      <c r="E2" s="5"/>
      <c r="F2" s="4"/>
      <c r="G2" s="4"/>
    </row>
    <row r="3" spans="1:7" x14ac:dyDescent="0.3">
      <c r="A3" s="1" t="s">
        <v>51</v>
      </c>
      <c r="C3" s="1" t="s">
        <v>52</v>
      </c>
      <c r="D3" s="1" t="s">
        <v>52</v>
      </c>
    </row>
    <row r="4" spans="1:7" x14ac:dyDescent="0.3">
      <c r="A4" s="1" t="s">
        <v>53</v>
      </c>
      <c r="C4" s="1" t="s">
        <v>54</v>
      </c>
      <c r="D4" s="1" t="s">
        <v>54</v>
      </c>
    </row>
    <row r="5" spans="1:7" x14ac:dyDescent="0.3">
      <c r="A5" s="1" t="s">
        <v>55</v>
      </c>
      <c r="B5" s="1" t="s">
        <v>56</v>
      </c>
      <c r="C5" s="1" t="s">
        <v>57</v>
      </c>
      <c r="D5" s="1" t="s">
        <v>58</v>
      </c>
    </row>
    <row r="6" spans="1:7" x14ac:dyDescent="0.3">
      <c r="A6" s="1">
        <v>11</v>
      </c>
      <c r="B6" s="1">
        <f>100-A6</f>
        <v>89</v>
      </c>
      <c r="C6" s="6">
        <v>53.17</v>
      </c>
      <c r="D6" s="7">
        <v>63.3</v>
      </c>
    </row>
    <row r="7" spans="1:7" x14ac:dyDescent="0.3">
      <c r="A7" s="1">
        <v>12</v>
      </c>
      <c r="B7" s="1">
        <f t="shared" ref="B7:B32" si="0">100-A7</f>
        <v>88</v>
      </c>
      <c r="C7" s="6">
        <v>53.77</v>
      </c>
      <c r="D7" s="7">
        <v>64.2</v>
      </c>
    </row>
    <row r="8" spans="1:7" x14ac:dyDescent="0.3">
      <c r="A8" s="1">
        <v>13</v>
      </c>
      <c r="B8" s="1">
        <f t="shared" si="0"/>
        <v>87</v>
      </c>
      <c r="C8" s="6">
        <v>54.39</v>
      </c>
      <c r="D8" s="7">
        <v>65.2</v>
      </c>
    </row>
    <row r="9" spans="1:7" x14ac:dyDescent="0.3">
      <c r="A9" s="1">
        <v>14</v>
      </c>
      <c r="B9" s="1">
        <f t="shared" si="0"/>
        <v>86</v>
      </c>
      <c r="C9" s="6">
        <v>55.02</v>
      </c>
      <c r="D9" s="7">
        <v>66.2</v>
      </c>
    </row>
    <row r="10" spans="1:7" x14ac:dyDescent="0.3">
      <c r="A10" s="1">
        <v>15</v>
      </c>
      <c r="B10" s="1">
        <f t="shared" si="0"/>
        <v>85</v>
      </c>
      <c r="C10" s="6">
        <v>55.67</v>
      </c>
      <c r="D10" s="7">
        <v>67.3</v>
      </c>
      <c r="E10" s="8"/>
    </row>
    <row r="11" spans="1:7" x14ac:dyDescent="0.3">
      <c r="A11" s="1">
        <v>15.5</v>
      </c>
      <c r="B11" s="1">
        <f t="shared" si="0"/>
        <v>84.5</v>
      </c>
      <c r="C11" s="6">
        <v>56</v>
      </c>
      <c r="D11" s="7">
        <v>67.8</v>
      </c>
    </row>
    <row r="12" spans="1:7" x14ac:dyDescent="0.3">
      <c r="A12" s="1">
        <v>16</v>
      </c>
      <c r="B12" s="1">
        <f t="shared" si="0"/>
        <v>84</v>
      </c>
      <c r="C12" s="6">
        <v>56.33</v>
      </c>
      <c r="D12" s="7">
        <v>68.400000000000006</v>
      </c>
    </row>
    <row r="13" spans="1:7" x14ac:dyDescent="0.3">
      <c r="A13" s="1">
        <v>17</v>
      </c>
      <c r="B13" s="1">
        <f t="shared" si="0"/>
        <v>83</v>
      </c>
      <c r="C13" s="6">
        <v>57.01</v>
      </c>
      <c r="D13" s="7">
        <v>69.599999999999994</v>
      </c>
    </row>
    <row r="14" spans="1:7" x14ac:dyDescent="0.3">
      <c r="A14" s="1">
        <v>18</v>
      </c>
      <c r="B14" s="1">
        <f t="shared" si="0"/>
        <v>82</v>
      </c>
      <c r="C14" s="6">
        <v>57.71</v>
      </c>
      <c r="D14" s="7">
        <v>70.8</v>
      </c>
    </row>
    <row r="15" spans="1:7" x14ac:dyDescent="0.3">
      <c r="A15" s="1">
        <v>19</v>
      </c>
      <c r="B15" s="1">
        <f t="shared" si="0"/>
        <v>81</v>
      </c>
      <c r="C15" s="6">
        <v>58.42</v>
      </c>
      <c r="D15" s="7">
        <v>72.099999999999994</v>
      </c>
    </row>
    <row r="16" spans="1:7" x14ac:dyDescent="0.3">
      <c r="A16" s="1">
        <v>20</v>
      </c>
      <c r="B16" s="1">
        <f t="shared" si="0"/>
        <v>80</v>
      </c>
      <c r="C16" s="6">
        <v>59.15</v>
      </c>
      <c r="D16" s="7">
        <v>73.400000000000006</v>
      </c>
    </row>
    <row r="17" spans="1:4" x14ac:dyDescent="0.3">
      <c r="A17" s="1">
        <v>21</v>
      </c>
      <c r="B17" s="1">
        <f t="shared" si="0"/>
        <v>79</v>
      </c>
      <c r="C17" s="6">
        <v>59.9</v>
      </c>
      <c r="D17" s="7">
        <v>74.8</v>
      </c>
    </row>
    <row r="18" spans="1:4" x14ac:dyDescent="0.3">
      <c r="A18" s="1">
        <v>22</v>
      </c>
      <c r="B18" s="1">
        <f t="shared" si="0"/>
        <v>78</v>
      </c>
      <c r="C18" s="6">
        <v>60.67</v>
      </c>
      <c r="D18" s="7">
        <v>76.2</v>
      </c>
    </row>
    <row r="19" spans="1:4" x14ac:dyDescent="0.3">
      <c r="A19" s="1">
        <v>23</v>
      </c>
      <c r="B19" s="1">
        <f t="shared" si="0"/>
        <v>77</v>
      </c>
      <c r="C19" s="6">
        <v>61.45</v>
      </c>
      <c r="D19" s="7">
        <v>77.7</v>
      </c>
    </row>
    <row r="20" spans="1:4" x14ac:dyDescent="0.3">
      <c r="A20" s="1">
        <v>24</v>
      </c>
      <c r="B20" s="1">
        <f t="shared" si="0"/>
        <v>76</v>
      </c>
      <c r="C20" s="6">
        <v>62.26</v>
      </c>
      <c r="D20" s="7">
        <v>79.2</v>
      </c>
    </row>
    <row r="21" spans="1:4" x14ac:dyDescent="0.3">
      <c r="A21" s="1">
        <v>25</v>
      </c>
      <c r="B21" s="1">
        <f t="shared" si="0"/>
        <v>75</v>
      </c>
      <c r="C21" s="6">
        <v>63.09</v>
      </c>
      <c r="D21" s="7">
        <v>80.7</v>
      </c>
    </row>
    <row r="22" spans="1:4" x14ac:dyDescent="0.3">
      <c r="A22" s="1">
        <v>26</v>
      </c>
      <c r="B22" s="1">
        <f t="shared" si="0"/>
        <v>74</v>
      </c>
      <c r="C22" s="6">
        <v>63.95</v>
      </c>
      <c r="D22" s="7">
        <v>82.2</v>
      </c>
    </row>
    <row r="23" spans="1:4" x14ac:dyDescent="0.3">
      <c r="A23" s="1">
        <v>27</v>
      </c>
      <c r="B23" s="1">
        <f t="shared" si="0"/>
        <v>73</v>
      </c>
      <c r="C23" s="6">
        <v>64.819999999999993</v>
      </c>
      <c r="D23" s="7">
        <v>83.7</v>
      </c>
    </row>
    <row r="24" spans="1:4" x14ac:dyDescent="0.3">
      <c r="A24" s="1">
        <v>28</v>
      </c>
      <c r="B24" s="1">
        <f t="shared" si="0"/>
        <v>72</v>
      </c>
      <c r="C24" s="6">
        <v>65.72</v>
      </c>
      <c r="D24" s="7">
        <v>85.2</v>
      </c>
    </row>
    <row r="25" spans="1:4" x14ac:dyDescent="0.3">
      <c r="A25" s="1">
        <v>29</v>
      </c>
      <c r="B25" s="1">
        <f t="shared" si="0"/>
        <v>71</v>
      </c>
      <c r="C25" s="6">
        <v>66.650000000000006</v>
      </c>
      <c r="D25" s="7">
        <v>86.7</v>
      </c>
    </row>
    <row r="26" spans="1:4" x14ac:dyDescent="0.3">
      <c r="A26" s="1">
        <v>30</v>
      </c>
      <c r="B26" s="1">
        <f t="shared" si="0"/>
        <v>70</v>
      </c>
      <c r="C26" s="6">
        <v>67.599999999999994</v>
      </c>
      <c r="D26" s="7">
        <v>88.2</v>
      </c>
    </row>
    <row r="27" spans="1:4" x14ac:dyDescent="0.3">
      <c r="A27" s="1">
        <v>31</v>
      </c>
      <c r="B27" s="1">
        <f t="shared" si="0"/>
        <v>69</v>
      </c>
      <c r="C27" s="6">
        <v>68.58</v>
      </c>
      <c r="D27" s="7">
        <v>89.9</v>
      </c>
    </row>
    <row r="28" spans="1:4" x14ac:dyDescent="0.3">
      <c r="A28" s="1">
        <v>32</v>
      </c>
      <c r="B28" s="1">
        <f t="shared" si="0"/>
        <v>68</v>
      </c>
      <c r="C28" s="6">
        <v>69.59</v>
      </c>
      <c r="D28" s="7">
        <v>91.7</v>
      </c>
    </row>
    <row r="29" spans="1:4" x14ac:dyDescent="0.3">
      <c r="A29" s="1">
        <v>33</v>
      </c>
      <c r="B29" s="1">
        <f t="shared" si="0"/>
        <v>67</v>
      </c>
      <c r="C29" s="6">
        <v>70.63</v>
      </c>
      <c r="D29" s="7">
        <v>93.6</v>
      </c>
    </row>
    <row r="30" spans="1:4" x14ac:dyDescent="0.3">
      <c r="A30" s="1">
        <v>34</v>
      </c>
      <c r="B30" s="1">
        <f t="shared" si="0"/>
        <v>66</v>
      </c>
      <c r="C30" s="6">
        <v>71.7</v>
      </c>
      <c r="D30" s="7">
        <v>95.6</v>
      </c>
    </row>
    <row r="31" spans="1:4" x14ac:dyDescent="0.3">
      <c r="A31" s="1">
        <v>35</v>
      </c>
      <c r="B31" s="1">
        <f t="shared" si="0"/>
        <v>65</v>
      </c>
      <c r="C31" s="6">
        <v>72.8</v>
      </c>
      <c r="D31" s="7">
        <v>97.7</v>
      </c>
    </row>
    <row r="32" spans="1:4" x14ac:dyDescent="0.3">
      <c r="A32" s="1">
        <v>36</v>
      </c>
      <c r="B32" s="1">
        <f t="shared" si="0"/>
        <v>64</v>
      </c>
      <c r="C32" s="6">
        <v>73.94</v>
      </c>
      <c r="D32" s="7">
        <v>99.9</v>
      </c>
    </row>
  </sheetData>
  <sheetProtection algorithmName="SHA-512" hashValue="AjppBCOhQNXUVK/zpD/6cAgUhUUmOF4t1VxBqXuAkwelCARiCcHHbloXV72KsPj2IWrHt8j2FC20QvhAbAj7lA==" saltValue="+cfBpdckbrBd+MtGAydBCg==" spinCount="100000" sheet="1" objects="1" scenarios="1"/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Calculator</vt:lpstr>
      <vt:lpstr>2022 Reference</vt:lpstr>
      <vt:lpstr>Names</vt:lpstr>
      <vt:lpstr>DM and Bu wt</vt:lpstr>
      <vt:lpstr>Crop</vt:lpstr>
      <vt:lpstr>Moisture</vt:lpstr>
      <vt:lpstr>Ownership</vt:lpstr>
      <vt:lpstr>State_tenure</vt:lpstr>
      <vt:lpstr>System</vt:lpstr>
    </vt:vector>
  </TitlesOfParts>
  <Company>University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DiCostanzo</dc:creator>
  <cp:lastModifiedBy>Alfredo DiCostanzo</cp:lastModifiedBy>
  <cp:lastPrinted>2023-09-15T18:17:29Z</cp:lastPrinted>
  <dcterms:created xsi:type="dcterms:W3CDTF">2023-08-04T13:54:53Z</dcterms:created>
  <dcterms:modified xsi:type="dcterms:W3CDTF">2023-09-27T15:35:25Z</dcterms:modified>
</cp:coreProperties>
</file>